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Sr separation (main folder)\Data\LSC Data\CT11R0\"/>
    </mc:Choice>
  </mc:AlternateContent>
  <bookViews>
    <workbookView xWindow="0" yWindow="0" windowWidth="19305" windowHeight="8085"/>
  </bookViews>
  <sheets>
    <sheet name="CT11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3" i="1" l="1"/>
  <c r="Y23" i="1"/>
  <c r="X23" i="1"/>
  <c r="AE9" i="1"/>
  <c r="AB10" i="1" s="1"/>
  <c r="AE3" i="1"/>
  <c r="AA16" i="1"/>
  <c r="AB16" i="1" s="1"/>
  <c r="AA15" i="1"/>
  <c r="AB14" i="1"/>
  <c r="AA14" i="1"/>
  <c r="AB13" i="1"/>
  <c r="AA13" i="1"/>
  <c r="AA12" i="1"/>
  <c r="AB12" i="1" s="1"/>
  <c r="AA11" i="1"/>
  <c r="AB11" i="1" s="1"/>
  <c r="AA10" i="1"/>
  <c r="AA9" i="1"/>
  <c r="AA8" i="1"/>
  <c r="AB8" i="1" s="1"/>
  <c r="AA7" i="1"/>
  <c r="AB7" i="1" s="1"/>
  <c r="AA6" i="1"/>
  <c r="AB6" i="1" s="1"/>
  <c r="AA5" i="1"/>
  <c r="AB5" i="1" s="1"/>
  <c r="AA4" i="1"/>
  <c r="AA3" i="1"/>
  <c r="AB3" i="1" s="1"/>
  <c r="AB2" i="1"/>
  <c r="AA2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  <c r="H2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AB4" i="1" l="1"/>
  <c r="AB9" i="1"/>
  <c r="AB15" i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2" i="1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2" i="1"/>
  <c r="K5" i="1" l="1"/>
  <c r="M5" i="1" l="1"/>
  <c r="L5" i="1"/>
  <c r="K15" i="1"/>
  <c r="K13" i="1"/>
  <c r="K9" i="1"/>
  <c r="K3" i="1"/>
  <c r="K2" i="1"/>
  <c r="K10" i="1"/>
  <c r="K17" i="1"/>
  <c r="K7" i="1"/>
  <c r="K8" i="1"/>
  <c r="K4" i="1"/>
  <c r="K6" i="1"/>
  <c r="K11" i="1"/>
  <c r="K16" i="1"/>
  <c r="K12" i="1"/>
  <c r="K14" i="1"/>
  <c r="M14" i="1" l="1"/>
  <c r="L14" i="1"/>
  <c r="M6" i="1"/>
  <c r="L6" i="1"/>
  <c r="M17" i="1"/>
  <c r="L17" i="1"/>
  <c r="M9" i="1"/>
  <c r="L9" i="1"/>
  <c r="M12" i="1"/>
  <c r="L12" i="1"/>
  <c r="M4" i="1"/>
  <c r="L4" i="1"/>
  <c r="M10" i="1"/>
  <c r="L10" i="1"/>
  <c r="M13" i="1"/>
  <c r="L13" i="1"/>
  <c r="O5" i="1"/>
  <c r="P5" i="1" s="1"/>
  <c r="X5" i="1"/>
  <c r="T5" i="1"/>
  <c r="N5" i="1"/>
  <c r="M16" i="1"/>
  <c r="L16" i="1"/>
  <c r="M8" i="1"/>
  <c r="L8" i="1"/>
  <c r="M2" i="1"/>
  <c r="L2" i="1"/>
  <c r="M15" i="1"/>
  <c r="L15" i="1"/>
  <c r="M11" i="1"/>
  <c r="L11" i="1"/>
  <c r="M7" i="1"/>
  <c r="L7" i="1"/>
  <c r="M3" i="1"/>
  <c r="L3" i="1"/>
  <c r="O14" i="1"/>
  <c r="Y5" i="1" l="1"/>
  <c r="Z5" i="1" s="1"/>
  <c r="AC5" i="1"/>
  <c r="O3" i="1"/>
  <c r="P3" i="1" s="1"/>
  <c r="T3" i="1"/>
  <c r="U3" i="1" s="1"/>
  <c r="N3" i="1"/>
  <c r="X3" i="1"/>
  <c r="O11" i="1"/>
  <c r="X11" i="1"/>
  <c r="T11" i="1"/>
  <c r="N11" i="1"/>
  <c r="O2" i="1"/>
  <c r="X2" i="1"/>
  <c r="T2" i="1"/>
  <c r="N2" i="1"/>
  <c r="O16" i="1"/>
  <c r="P16" i="1" s="1"/>
  <c r="X16" i="1"/>
  <c r="T16" i="1"/>
  <c r="N16" i="1"/>
  <c r="O10" i="1"/>
  <c r="X10" i="1"/>
  <c r="T10" i="1"/>
  <c r="N10" i="1"/>
  <c r="O12" i="1"/>
  <c r="X12" i="1"/>
  <c r="T12" i="1"/>
  <c r="N12" i="1"/>
  <c r="O17" i="1"/>
  <c r="N17" i="1"/>
  <c r="X14" i="1"/>
  <c r="T14" i="1"/>
  <c r="N14" i="1"/>
  <c r="P14" i="1" s="1"/>
  <c r="Q3" i="1"/>
  <c r="Q14" i="1"/>
  <c r="Q5" i="1"/>
  <c r="O7" i="1"/>
  <c r="T7" i="1"/>
  <c r="N7" i="1"/>
  <c r="X7" i="1"/>
  <c r="O15" i="1"/>
  <c r="T15" i="1"/>
  <c r="N15" i="1"/>
  <c r="X15" i="1"/>
  <c r="O8" i="1"/>
  <c r="X8" i="1"/>
  <c r="T8" i="1"/>
  <c r="N8" i="1"/>
  <c r="U5" i="1"/>
  <c r="O13" i="1"/>
  <c r="X13" i="1"/>
  <c r="T13" i="1"/>
  <c r="N13" i="1"/>
  <c r="O4" i="1"/>
  <c r="X4" i="1"/>
  <c r="T4" i="1"/>
  <c r="N4" i="1"/>
  <c r="O9" i="1"/>
  <c r="X9" i="1"/>
  <c r="T9" i="1"/>
  <c r="N9" i="1"/>
  <c r="O6" i="1"/>
  <c r="X6" i="1"/>
  <c r="T6" i="1"/>
  <c r="N6" i="1"/>
  <c r="P8" i="1" l="1"/>
  <c r="Q8" i="1"/>
  <c r="P15" i="1"/>
  <c r="Q15" i="1"/>
  <c r="P7" i="1"/>
  <c r="Q7" i="1"/>
  <c r="Y12" i="1"/>
  <c r="Z12" i="1" s="1"/>
  <c r="AC12" i="1"/>
  <c r="Y10" i="1"/>
  <c r="Z10" i="1" s="1"/>
  <c r="AC10" i="1"/>
  <c r="Y16" i="1"/>
  <c r="Z16" i="1" s="1"/>
  <c r="AC16" i="1"/>
  <c r="Y2" i="1"/>
  <c r="Z2" i="1" s="1"/>
  <c r="AC2" i="1"/>
  <c r="Y11" i="1"/>
  <c r="Z11" i="1" s="1"/>
  <c r="AC11" i="1"/>
  <c r="U6" i="1"/>
  <c r="U9" i="1"/>
  <c r="W9" i="1" s="1"/>
  <c r="U4" i="1"/>
  <c r="U13" i="1"/>
  <c r="Y15" i="1"/>
  <c r="Z15" i="1" s="1"/>
  <c r="AC15" i="1"/>
  <c r="Y7" i="1"/>
  <c r="Z7" i="1" s="1"/>
  <c r="AC7" i="1"/>
  <c r="P17" i="1"/>
  <c r="Q17" i="1"/>
  <c r="P12" i="1"/>
  <c r="Q12" i="1"/>
  <c r="P10" i="1"/>
  <c r="Q10" i="1"/>
  <c r="P2" i="1"/>
  <c r="Q2" i="1"/>
  <c r="P11" i="1"/>
  <c r="Q11" i="1"/>
  <c r="Y6" i="1"/>
  <c r="Z6" i="1" s="1"/>
  <c r="AC6" i="1"/>
  <c r="AC9" i="1"/>
  <c r="Y9" i="1"/>
  <c r="Z9" i="1" s="1"/>
  <c r="Y4" i="1"/>
  <c r="Z4" i="1" s="1"/>
  <c r="AC4" i="1"/>
  <c r="Y13" i="1"/>
  <c r="Z13" i="1" s="1"/>
  <c r="AC13" i="1"/>
  <c r="U8" i="1"/>
  <c r="Q16" i="1"/>
  <c r="U14" i="1"/>
  <c r="Y3" i="1"/>
  <c r="Z3" i="1" s="1"/>
  <c r="AC3" i="1"/>
  <c r="P6" i="1"/>
  <c r="Q6" i="1"/>
  <c r="P9" i="1"/>
  <c r="Q9" i="1"/>
  <c r="P4" i="1"/>
  <c r="Q4" i="1"/>
  <c r="P13" i="1"/>
  <c r="Q13" i="1"/>
  <c r="Y8" i="1"/>
  <c r="Z8" i="1" s="1"/>
  <c r="AC8" i="1"/>
  <c r="U15" i="1"/>
  <c r="W15" i="1" s="1"/>
  <c r="U7" i="1"/>
  <c r="Y14" i="1"/>
  <c r="Z14" i="1" s="1"/>
  <c r="AC14" i="1"/>
  <c r="U12" i="1"/>
  <c r="W12" i="1" s="1"/>
  <c r="U10" i="1"/>
  <c r="U16" i="1"/>
  <c r="V16" i="1"/>
  <c r="V12" i="1"/>
  <c r="V8" i="1"/>
  <c r="V4" i="1"/>
  <c r="V15" i="1"/>
  <c r="V11" i="1"/>
  <c r="V7" i="1"/>
  <c r="V3" i="1"/>
  <c r="U2" i="1"/>
  <c r="W2" i="1" s="1"/>
  <c r="V14" i="1"/>
  <c r="V10" i="1"/>
  <c r="V6" i="1"/>
  <c r="V2" i="1"/>
  <c r="V9" i="1"/>
  <c r="V5" i="1"/>
  <c r="V13" i="1"/>
  <c r="U11" i="1"/>
  <c r="W6" i="1" l="1"/>
  <c r="W11" i="1"/>
  <c r="W13" i="1"/>
  <c r="W3" i="1"/>
  <c r="W14" i="1"/>
  <c r="W16" i="1"/>
  <c r="W10" i="1"/>
  <c r="W7" i="1"/>
  <c r="W8" i="1"/>
  <c r="W4" i="1"/>
  <c r="W5" i="1"/>
</calcChain>
</file>

<file path=xl/sharedStrings.xml><?xml version="1.0" encoding="utf-8"?>
<sst xmlns="http://schemas.openxmlformats.org/spreadsheetml/2006/main" count="49" uniqueCount="49">
  <si>
    <t>Time elapsed (hrs)</t>
  </si>
  <si>
    <t>Decay constant of Y-90=</t>
  </si>
  <si>
    <t xml:space="preserve">Sample name </t>
  </si>
  <si>
    <t>Time measured</t>
  </si>
  <si>
    <t>Time separated</t>
  </si>
  <si>
    <t>Ingrowth factor</t>
  </si>
  <si>
    <t>CPM of Sr-90</t>
  </si>
  <si>
    <t xml:space="preserve">CPM of Y-90 </t>
  </si>
  <si>
    <t>DPM Total</t>
  </si>
  <si>
    <t>Total bkgd corrected counts (cpm)</t>
  </si>
  <si>
    <t>CT11R 1 mL</t>
  </si>
  <si>
    <t>CT11R 2 mL</t>
  </si>
  <si>
    <t>CT11R 3 mL</t>
  </si>
  <si>
    <t>CT11R 4 mL</t>
  </si>
  <si>
    <t>CT11R 5 mL</t>
  </si>
  <si>
    <t>CT11R 6 mL</t>
  </si>
  <si>
    <t>CT11R 7 mL</t>
  </si>
  <si>
    <t>CT11R 8 mL</t>
  </si>
  <si>
    <t>CT11R 9 mL</t>
  </si>
  <si>
    <t>CT11R 10 mL</t>
  </si>
  <si>
    <t>CT11R 11 mL</t>
  </si>
  <si>
    <t>CT11R 12 mL</t>
  </si>
  <si>
    <t>CT11R 13 mL</t>
  </si>
  <si>
    <t>CT11R 14 mL</t>
  </si>
  <si>
    <t>CT11R 15 mL</t>
  </si>
  <si>
    <t>CT11R blk</t>
  </si>
  <si>
    <t>Measured counts (cpm)</t>
  </si>
  <si>
    <r>
      <t xml:space="preserve">Measured counts % </t>
    </r>
    <r>
      <rPr>
        <sz val="11"/>
        <color theme="1"/>
        <rFont val="Calibri"/>
        <family val="2"/>
      </rPr>
      <t>σ</t>
    </r>
  </si>
  <si>
    <t>Measured counts σ</t>
  </si>
  <si>
    <t>Total Bkgd corrected counts σ</t>
  </si>
  <si>
    <r>
      <t xml:space="preserve">Time elapsed (hrs) </t>
    </r>
    <r>
      <rPr>
        <sz val="11"/>
        <color theme="1"/>
        <rFont val="Calibri"/>
        <family val="2"/>
      </rPr>
      <t>σ</t>
    </r>
  </si>
  <si>
    <r>
      <t xml:space="preserve">Ingrowth factor </t>
    </r>
    <r>
      <rPr>
        <sz val="11"/>
        <color theme="1"/>
        <rFont val="Calibri"/>
        <family val="2"/>
      </rPr>
      <t>σ</t>
    </r>
  </si>
  <si>
    <r>
      <t xml:space="preserve">CPM of Sr-90 </t>
    </r>
    <r>
      <rPr>
        <sz val="11"/>
        <color theme="1"/>
        <rFont val="Calibri"/>
        <family val="2"/>
      </rPr>
      <t>σ</t>
    </r>
  </si>
  <si>
    <r>
      <t xml:space="preserve">CPM of Y-90 </t>
    </r>
    <r>
      <rPr>
        <sz val="11"/>
        <color theme="1"/>
        <rFont val="Calibri"/>
        <family val="2"/>
      </rPr>
      <t>σ</t>
    </r>
  </si>
  <si>
    <t>Weight of Eluate (g)</t>
  </si>
  <si>
    <t>Weight of Eluate (g) σ</t>
  </si>
  <si>
    <t>Weight Corrected Sr-90 Activity (DPM)</t>
  </si>
  <si>
    <t>Weight Corrected Sr-90 Activity (DPM) σ</t>
  </si>
  <si>
    <t xml:space="preserve">Cumulative Activity (DPM) </t>
  </si>
  <si>
    <t>Cumulative Activity (DPM) σ</t>
  </si>
  <si>
    <t>Activity (bq)</t>
  </si>
  <si>
    <t>Activity (Bq) σ</t>
  </si>
  <si>
    <t>Activity (Bq) σ ^2</t>
  </si>
  <si>
    <t>Time from 05.06.2018</t>
  </si>
  <si>
    <t>DC factor</t>
  </si>
  <si>
    <t>DC to 05.06.2018</t>
  </si>
  <si>
    <t>Decay constant of sr-90=</t>
  </si>
  <si>
    <t>σ</t>
  </si>
  <si>
    <t>Sr-90 activity recovered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</si>
</sst>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0000"/>
    <numFmt numFmtId="166" formatCode="0.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22" fontId="0" fillId="0" borderId="0" xfId="0" applyNumberFormat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/>
    <xf numFmtId="166" fontId="0" fillId="2" borderId="2" xfId="0" applyNumberFormat="1" applyFill="1" applyBorder="1"/>
    <xf numFmtId="166" fontId="0" fillId="2" borderId="3" xfId="0" applyNumberFormat="1" applyFill="1" applyBorder="1"/>
    <xf numFmtId="0" fontId="0" fillId="0" borderId="1" xfId="0" applyBorder="1"/>
    <xf numFmtId="0" fontId="0" fillId="0" borderId="4" xfId="0" applyBorder="1"/>
    <xf numFmtId="0" fontId="0" fillId="0" borderId="2" xfId="0" applyBorder="1"/>
    <xf numFmtId="0" fontId="0" fillId="0" borderId="3" xfId="0" applyBorder="1"/>
    <xf numFmtId="165" fontId="0" fillId="0" borderId="2" xfId="0" applyNumberFormat="1" applyBorder="1"/>
    <xf numFmtId="165" fontId="0" fillId="0" borderId="3" xfId="0" applyNumberFormat="1" applyBorder="1"/>
    <xf numFmtId="22" fontId="0" fillId="0" borderId="3" xfId="0" applyNumberFormat="1" applyBorder="1"/>
    <xf numFmtId="2" fontId="0" fillId="0" borderId="3" xfId="0" applyNumberFormat="1" applyBorder="1"/>
    <xf numFmtId="2" fontId="0" fillId="2" borderId="3" xfId="0" applyNumberFormat="1" applyFill="1" applyBorder="1"/>
    <xf numFmtId="164" fontId="0" fillId="0" borderId="3" xfId="0" applyNumberFormat="1" applyBorder="1"/>
    <xf numFmtId="22" fontId="0" fillId="0" borderId="6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22" fontId="0" fillId="0" borderId="10" xfId="0" applyNumberFormat="1" applyBorder="1"/>
    <xf numFmtId="22" fontId="0" fillId="0" borderId="2" xfId="0" applyNumberFormat="1" applyBorder="1"/>
    <xf numFmtId="2" fontId="0" fillId="0" borderId="2" xfId="0" applyNumberFormat="1" applyBorder="1"/>
    <xf numFmtId="2" fontId="0" fillId="2" borderId="2" xfId="0" applyNumberFormat="1" applyFill="1" applyBorder="1"/>
    <xf numFmtId="164" fontId="0" fillId="0" borderId="2" xfId="0" applyNumberFormat="1" applyBorder="1"/>
    <xf numFmtId="0" fontId="0" fillId="0" borderId="5" xfId="0" applyBorder="1"/>
    <xf numFmtId="0" fontId="0" fillId="0" borderId="11" xfId="0" applyBorder="1"/>
    <xf numFmtId="0" fontId="1" fillId="2" borderId="0" xfId="0" applyFont="1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3"/>
  <sheetViews>
    <sheetView tabSelected="1" topLeftCell="B1" workbookViewId="0">
      <selection activeCell="X31" sqref="X31"/>
    </sheetView>
  </sheetViews>
  <sheetFormatPr defaultRowHeight="15" x14ac:dyDescent="0.25"/>
  <cols>
    <col min="1" max="1" width="13.5703125" bestFit="1" customWidth="1"/>
    <col min="2" max="2" width="20.5703125" customWidth="1"/>
    <col min="3" max="3" width="16" customWidth="1"/>
    <col min="4" max="4" width="22.140625" bestFit="1" customWidth="1"/>
    <col min="5" max="6" width="22.140625" style="5" customWidth="1"/>
    <col min="7" max="7" width="31.5703125" bestFit="1" customWidth="1"/>
    <col min="8" max="8" width="31.5703125" customWidth="1"/>
    <col min="9" max="9" width="17.7109375" bestFit="1" customWidth="1"/>
    <col min="10" max="12" width="17.7109375" customWidth="1"/>
    <col min="13" max="13" width="12.140625" bestFit="1" customWidth="1"/>
    <col min="14" max="14" width="13.85546875" bestFit="1" customWidth="1"/>
    <col min="15" max="15" width="12.140625" bestFit="1" customWidth="1"/>
    <col min="16" max="16" width="13.140625" bestFit="1" customWidth="1"/>
    <col min="17" max="17" width="12" bestFit="1" customWidth="1"/>
    <col min="18" max="18" width="18.85546875" bestFit="1" customWidth="1"/>
    <col min="19" max="19" width="20.42578125" bestFit="1" customWidth="1"/>
    <col min="20" max="20" width="35.42578125" bestFit="1" customWidth="1"/>
    <col min="21" max="21" width="37" bestFit="1" customWidth="1"/>
    <col min="22" max="22" width="25.140625" bestFit="1" customWidth="1"/>
    <col min="23" max="23" width="26.42578125" bestFit="1" customWidth="1"/>
    <col min="24" max="24" width="11.85546875" bestFit="1" customWidth="1"/>
    <col min="25" max="25" width="13.5703125" bestFit="1" customWidth="1"/>
    <col min="26" max="26" width="16" bestFit="1" customWidth="1"/>
    <col min="27" max="27" width="20" bestFit="1" customWidth="1"/>
    <col min="28" max="28" width="10.5703125" bestFit="1" customWidth="1"/>
    <col min="29" max="29" width="15.42578125" bestFit="1" customWidth="1"/>
    <col min="31" max="31" width="22.140625" bestFit="1" customWidth="1"/>
  </cols>
  <sheetData>
    <row r="1" spans="1:31" ht="15.75" thickBot="1" x14ac:dyDescent="0.3">
      <c r="A1" s="27" t="s">
        <v>2</v>
      </c>
      <c r="B1" s="28" t="s">
        <v>4</v>
      </c>
      <c r="C1" s="8" t="s">
        <v>3</v>
      </c>
      <c r="D1" s="8" t="s">
        <v>26</v>
      </c>
      <c r="E1" s="2" t="s">
        <v>27</v>
      </c>
      <c r="F1" s="2" t="s">
        <v>28</v>
      </c>
      <c r="G1" s="8" t="s">
        <v>9</v>
      </c>
      <c r="H1" s="2" t="s">
        <v>29</v>
      </c>
      <c r="I1" s="8" t="s">
        <v>0</v>
      </c>
      <c r="J1" s="2" t="s">
        <v>30</v>
      </c>
      <c r="K1" s="8" t="s">
        <v>5</v>
      </c>
      <c r="L1" s="2" t="s">
        <v>31</v>
      </c>
      <c r="M1" s="8" t="s">
        <v>6</v>
      </c>
      <c r="N1" s="2" t="s">
        <v>32</v>
      </c>
      <c r="O1" s="8" t="s">
        <v>7</v>
      </c>
      <c r="P1" s="2" t="s">
        <v>33</v>
      </c>
      <c r="Q1" s="8" t="s">
        <v>8</v>
      </c>
      <c r="R1" s="8" t="s">
        <v>34</v>
      </c>
      <c r="S1" s="2" t="s">
        <v>35</v>
      </c>
      <c r="T1" s="8" t="s">
        <v>36</v>
      </c>
      <c r="U1" s="2" t="s">
        <v>37</v>
      </c>
      <c r="V1" s="8" t="s">
        <v>38</v>
      </c>
      <c r="W1" s="2" t="s">
        <v>39</v>
      </c>
      <c r="X1" s="8" t="s">
        <v>40</v>
      </c>
      <c r="Y1" s="2" t="s">
        <v>41</v>
      </c>
      <c r="Z1" s="2" t="s">
        <v>42</v>
      </c>
      <c r="AA1" s="8" t="s">
        <v>43</v>
      </c>
      <c r="AB1" s="8" t="s">
        <v>44</v>
      </c>
      <c r="AC1" s="9" t="s">
        <v>45</v>
      </c>
    </row>
    <row r="2" spans="1:31" x14ac:dyDescent="0.25">
      <c r="A2" s="21" t="s">
        <v>10</v>
      </c>
      <c r="B2" s="22">
        <v>43262.625</v>
      </c>
      <c r="C2" s="23">
        <v>43301.286111111112</v>
      </c>
      <c r="D2" s="24">
        <v>7.5</v>
      </c>
      <c r="E2" s="25">
        <v>6.74</v>
      </c>
      <c r="F2" s="3">
        <f>D2*(E2/100)</f>
        <v>0.50550000000000006</v>
      </c>
      <c r="G2" s="10">
        <f>D2-$D$17</f>
        <v>0.80999999999999961</v>
      </c>
      <c r="H2" s="3">
        <f>SQRT((F2^2)+(F$17^2))</f>
        <v>0.68908282521043884</v>
      </c>
      <c r="I2" s="26">
        <f>(C2-B2)*24</f>
        <v>927.86666666669771</v>
      </c>
      <c r="J2" s="6">
        <f>1/60</f>
        <v>1.6666666666666666E-2</v>
      </c>
      <c r="K2" s="12">
        <f>1-EXP(-$AE$3*I2)</f>
        <v>0.99997175871933375</v>
      </c>
      <c r="L2" s="3">
        <f>K2*SQRT(((J2/I2)^2))</f>
        <v>1.7961843632693278E-5</v>
      </c>
      <c r="M2" s="10">
        <f>G2/((1+K2))</f>
        <v>0.4050057189400898</v>
      </c>
      <c r="N2" s="3">
        <f t="shared" ref="N2:N17" si="0">M2*SQRT(((H2/G2)^2)+((L2/K2)^2))</f>
        <v>0.34454627789608833</v>
      </c>
      <c r="O2" s="10">
        <f>M2*K2</f>
        <v>0.40499428105990976</v>
      </c>
      <c r="P2" s="3">
        <f t="shared" ref="P2:P17" si="1">O2*SQRT(((N2/M2)^2)+((L2/K2)^2))</f>
        <v>0.34453654754475127</v>
      </c>
      <c r="Q2" s="10">
        <f>M2+O2</f>
        <v>0.80999999999999961</v>
      </c>
      <c r="R2" s="10">
        <v>1.1629000000000005</v>
      </c>
      <c r="S2" s="10">
        <v>1.4142135623730951E-4</v>
      </c>
      <c r="T2" s="10">
        <f t="shared" ref="T2:T16" si="2">M2/R2</f>
        <v>0.34827218070349097</v>
      </c>
      <c r="U2" s="3">
        <f>T2*SQRT(((S2/R2)^2)+((N2/M2)^2))</f>
        <v>0.29628195151472347</v>
      </c>
      <c r="V2" s="10">
        <f>SUM($T$2:T2)</f>
        <v>0.34827218070349097</v>
      </c>
      <c r="W2" s="3">
        <f>SQRT((U2^2))</f>
        <v>0.29628195151472347</v>
      </c>
      <c r="X2" s="10">
        <f t="shared" ref="X2:X16" si="3">M2/60</f>
        <v>6.7500953156681637E-3</v>
      </c>
      <c r="Y2" s="3">
        <f>X2*SQRT(((N2/M2)^2))</f>
        <v>5.7424379649348061E-3</v>
      </c>
      <c r="Z2" s="3">
        <f>Y2^2</f>
        <v>3.2975593781124599E-5</v>
      </c>
      <c r="AA2" s="10">
        <f t="shared" ref="AA2:AA16" si="4">(C2-$AE$6)*24</f>
        <v>234.86666666669771</v>
      </c>
      <c r="AB2" s="12">
        <f t="shared" ref="AB2:AB16" si="5">EXP(-$AE$9*AA2)</f>
        <v>0.99935492510948665</v>
      </c>
      <c r="AC2" s="10">
        <f>X2/AB2</f>
        <v>6.7544524433385275E-3</v>
      </c>
      <c r="AE2" t="s">
        <v>1</v>
      </c>
    </row>
    <row r="3" spans="1:31" x14ac:dyDescent="0.25">
      <c r="A3" s="19" t="s">
        <v>11</v>
      </c>
      <c r="B3" s="18">
        <v>43262.625</v>
      </c>
      <c r="C3" s="14">
        <v>43301.309027777781</v>
      </c>
      <c r="D3" s="15">
        <v>7.09</v>
      </c>
      <c r="E3" s="16">
        <v>6.93</v>
      </c>
      <c r="F3" s="4">
        <f t="shared" ref="F3:F17" si="6">D3*(E3/100)</f>
        <v>0.49133699999999997</v>
      </c>
      <c r="G3" s="11">
        <f t="shared" ref="G3:G17" si="7">D3-$D$17</f>
        <v>0.39999999999999947</v>
      </c>
      <c r="H3" s="4">
        <f>SQRT((F3^2)+(F$17^2))</f>
        <v>0.67876132592318483</v>
      </c>
      <c r="I3" s="17">
        <f t="shared" ref="I3:I17" si="8">(C3-B3)*24</f>
        <v>928.41666666674428</v>
      </c>
      <c r="J3" s="7">
        <f t="shared" ref="J3:J17" si="9">1/60</f>
        <v>1.6666666666666666E-2</v>
      </c>
      <c r="K3" s="13">
        <f>1-EXP(-$AE$3*I3)</f>
        <v>0.99997193352544134</v>
      </c>
      <c r="L3" s="4">
        <f t="shared" ref="L3:L17" si="10">K3*SQRT(((J3/I3)^2))</f>
        <v>1.7951206059157308E-5</v>
      </c>
      <c r="M3" s="11">
        <f>G3/((1+K3))</f>
        <v>0.2000028066868425</v>
      </c>
      <c r="N3" s="4">
        <f t="shared" si="0"/>
        <v>0.33938542565679114</v>
      </c>
      <c r="O3" s="11">
        <f>M3*K3</f>
        <v>0.19999719331315696</v>
      </c>
      <c r="P3" s="4">
        <f t="shared" si="1"/>
        <v>0.33937590032336734</v>
      </c>
      <c r="Q3" s="11">
        <f t="shared" ref="Q3:Q17" si="11">M3+O3</f>
        <v>0.39999999999999947</v>
      </c>
      <c r="R3" s="11">
        <v>1.1316999999999995</v>
      </c>
      <c r="S3" s="11">
        <v>1.4142135623730951E-4</v>
      </c>
      <c r="T3" s="11">
        <f t="shared" si="2"/>
        <v>0.17672776061398127</v>
      </c>
      <c r="U3" s="4">
        <f t="shared" ref="U3:U16" si="12">T3*SQRT(((S3/R3)^2)+((N3/M3)^2))</f>
        <v>0.29988992363441164</v>
      </c>
      <c r="V3" s="11">
        <f>SUM($T$2:T3)</f>
        <v>0.52499994131747219</v>
      </c>
      <c r="W3" s="4">
        <f>SQRT((U3^2)+(U2^2))</f>
        <v>0.42156489546785819</v>
      </c>
      <c r="X3" s="11">
        <f t="shared" si="3"/>
        <v>3.3333801114473751E-3</v>
      </c>
      <c r="Y3" s="4">
        <f t="shared" ref="Y3:Y16" si="13">X3*SQRT(((N3/M3)^2))</f>
        <v>5.6564237609465192E-3</v>
      </c>
      <c r="Z3" s="4">
        <f t="shared" ref="Z3:Z16" si="14">Y3^2</f>
        <v>3.1995129763400364E-5</v>
      </c>
      <c r="AA3" s="11">
        <f t="shared" si="4"/>
        <v>235.41666666674428</v>
      </c>
      <c r="AB3" s="13">
        <f t="shared" si="5"/>
        <v>0.99935341499113395</v>
      </c>
      <c r="AC3" s="11">
        <f t="shared" ref="AC3:AC16" si="15">X3/AB3</f>
        <v>3.3355368195514177E-3</v>
      </c>
      <c r="AE3">
        <f>LN(2)/61.4</f>
        <v>1.1289042028663604E-2</v>
      </c>
    </row>
    <row r="4" spans="1:31" x14ac:dyDescent="0.25">
      <c r="A4" s="19" t="s">
        <v>12</v>
      </c>
      <c r="B4" s="18">
        <v>43262.625</v>
      </c>
      <c r="C4" s="14">
        <v>43301.331944444442</v>
      </c>
      <c r="D4" s="15">
        <v>6.78</v>
      </c>
      <c r="E4" s="16">
        <v>7.09</v>
      </c>
      <c r="F4" s="4">
        <f t="shared" si="6"/>
        <v>0.48070200000000007</v>
      </c>
      <c r="G4" s="11">
        <f t="shared" si="7"/>
        <v>8.9999999999999858E-2</v>
      </c>
      <c r="H4" s="4">
        <f t="shared" ref="H4:H17" si="16">SQRT((F4^2)+(F$17^2))</f>
        <v>0.6711030493180612</v>
      </c>
      <c r="I4" s="17">
        <f t="shared" si="8"/>
        <v>928.96666666661622</v>
      </c>
      <c r="J4" s="7">
        <f t="shared" si="9"/>
        <v>1.6666666666666666E-2</v>
      </c>
      <c r="K4" s="13">
        <f>1-EXP(-$AE$3*I4)</f>
        <v>0.99997210724954511</v>
      </c>
      <c r="L4" s="4">
        <f t="shared" si="10"/>
        <v>1.7940581062284247E-5</v>
      </c>
      <c r="M4" s="11">
        <f>G4/((1+K4))</f>
        <v>4.5000627595637846E-2</v>
      </c>
      <c r="N4" s="4">
        <f t="shared" si="0"/>
        <v>0.33555620445273904</v>
      </c>
      <c r="O4" s="11">
        <f>M4*K4</f>
        <v>4.4999372404362005E-2</v>
      </c>
      <c r="P4" s="4">
        <f t="shared" si="1"/>
        <v>0.33554684486823588</v>
      </c>
      <c r="Q4" s="11">
        <f t="shared" si="11"/>
        <v>8.9999999999999858E-2</v>
      </c>
      <c r="R4" s="11">
        <v>1.133</v>
      </c>
      <c r="S4" s="11">
        <v>1.4142135623730951E-4</v>
      </c>
      <c r="T4" s="11">
        <f t="shared" si="2"/>
        <v>3.9718117913184331E-2</v>
      </c>
      <c r="U4" s="4">
        <f t="shared" si="12"/>
        <v>0.29616611165026602</v>
      </c>
      <c r="V4" s="11">
        <f>SUM($T$2:T4)</f>
        <v>0.56471805923065654</v>
      </c>
      <c r="W4" s="4">
        <f>SQRT((U4^2)+(U3^2)+(U2^2))</f>
        <v>0.5152002783198627</v>
      </c>
      <c r="X4" s="11">
        <f t="shared" si="3"/>
        <v>7.5001045992729748E-4</v>
      </c>
      <c r="Y4" s="4">
        <f t="shared" si="13"/>
        <v>5.5926034075456507E-3</v>
      </c>
      <c r="Z4" s="4">
        <f t="shared" si="14"/>
        <v>3.1277212874091224E-5</v>
      </c>
      <c r="AA4" s="11">
        <f t="shared" si="4"/>
        <v>235.96666666661622</v>
      </c>
      <c r="AB4" s="13">
        <f t="shared" si="5"/>
        <v>0.99935190487506365</v>
      </c>
      <c r="AC4" s="11">
        <f t="shared" si="15"/>
        <v>7.5049685327918778E-4</v>
      </c>
    </row>
    <row r="5" spans="1:31" x14ac:dyDescent="0.25">
      <c r="A5" s="19" t="s">
        <v>13</v>
      </c>
      <c r="B5" s="18">
        <v>43262.625</v>
      </c>
      <c r="C5" s="14">
        <v>43301.354861111111</v>
      </c>
      <c r="D5" s="15">
        <v>8.2899999999999991</v>
      </c>
      <c r="E5" s="16">
        <v>6.42</v>
      </c>
      <c r="F5" s="4">
        <f t="shared" si="6"/>
        <v>0.53221799999999986</v>
      </c>
      <c r="G5" s="11">
        <f t="shared" si="7"/>
        <v>1.5999999999999988</v>
      </c>
      <c r="H5" s="4">
        <f t="shared" si="16"/>
        <v>0.7089152907957339</v>
      </c>
      <c r="I5" s="17">
        <f t="shared" si="8"/>
        <v>929.51666666666279</v>
      </c>
      <c r="J5" s="7">
        <f t="shared" si="9"/>
        <v>1.6666666666666666E-2</v>
      </c>
      <c r="K5" s="13">
        <f>1-EXP(-$AE$3*I5)</f>
        <v>0.99997227989834225</v>
      </c>
      <c r="L5" s="4">
        <f t="shared" si="10"/>
        <v>1.7929968619862409E-5</v>
      </c>
      <c r="M5" s="11">
        <f>G5/((1+K5))</f>
        <v>0.80001108819434541</v>
      </c>
      <c r="N5" s="4">
        <f t="shared" si="0"/>
        <v>0.35446255855719316</v>
      </c>
      <c r="O5" s="11">
        <f>M5*K5</f>
        <v>0.79998891180565335</v>
      </c>
      <c r="P5" s="4">
        <f t="shared" si="1"/>
        <v>0.35445273310927977</v>
      </c>
      <c r="Q5" s="11">
        <f t="shared" si="11"/>
        <v>1.5999999999999988</v>
      </c>
      <c r="R5" s="11">
        <v>0.9903000000000004</v>
      </c>
      <c r="S5" s="11">
        <v>1.4142135623730951E-4</v>
      </c>
      <c r="T5" s="11">
        <f t="shared" si="2"/>
        <v>0.80784720609345162</v>
      </c>
      <c r="U5" s="4">
        <f t="shared" si="12"/>
        <v>0.35793454202630165</v>
      </c>
      <c r="V5" s="11">
        <f>SUM($T$2:T5)</f>
        <v>1.3725652653241083</v>
      </c>
      <c r="W5" s="4">
        <f>SQRT((U5^2)+(U4^2)+(U3^2)+(U2^2))</f>
        <v>0.62733441094558362</v>
      </c>
      <c r="X5" s="11">
        <f t="shared" si="3"/>
        <v>1.3333518136572424E-2</v>
      </c>
      <c r="Y5" s="4">
        <f t="shared" si="13"/>
        <v>5.9077093092865535E-3</v>
      </c>
      <c r="Z5" s="4">
        <f t="shared" si="14"/>
        <v>3.4901029283031007E-5</v>
      </c>
      <c r="AA5" s="11">
        <f t="shared" si="4"/>
        <v>236.51666666666279</v>
      </c>
      <c r="AB5" s="13">
        <f t="shared" si="5"/>
        <v>0.99935039476127474</v>
      </c>
      <c r="AC5" s="11">
        <f t="shared" si="15"/>
        <v>1.3342185290032872E-2</v>
      </c>
    </row>
    <row r="6" spans="1:31" x14ac:dyDescent="0.25">
      <c r="A6" s="19" t="s">
        <v>14</v>
      </c>
      <c r="B6" s="18">
        <v>43262.625</v>
      </c>
      <c r="C6" s="14">
        <v>43301.377083333333</v>
      </c>
      <c r="D6" s="15">
        <v>8.08</v>
      </c>
      <c r="E6" s="16">
        <v>6.5</v>
      </c>
      <c r="F6" s="4">
        <f t="shared" si="6"/>
        <v>0.5252</v>
      </c>
      <c r="G6" s="11">
        <f t="shared" si="7"/>
        <v>1.3899999999999997</v>
      </c>
      <c r="H6" s="4">
        <f t="shared" si="16"/>
        <v>0.7036618008674338</v>
      </c>
      <c r="I6" s="17">
        <f t="shared" si="8"/>
        <v>930.04999999998836</v>
      </c>
      <c r="J6" s="7">
        <f t="shared" si="9"/>
        <v>1.6666666666666666E-2</v>
      </c>
      <c r="K6" s="13">
        <f>1-EXP(-$AE$3*I6)</f>
        <v>0.99997244629472748</v>
      </c>
      <c r="L6" s="4">
        <f t="shared" si="10"/>
        <v>1.7919689735224629E-5</v>
      </c>
      <c r="M6" s="11">
        <f>G6/((1+K6))</f>
        <v>0.69500957504449601</v>
      </c>
      <c r="N6" s="4">
        <f t="shared" si="0"/>
        <v>0.35183574784340715</v>
      </c>
      <c r="O6" s="11">
        <f>M6*K6</f>
        <v>0.69499042495550367</v>
      </c>
      <c r="P6" s="4">
        <f t="shared" si="1"/>
        <v>0.35182605368534381</v>
      </c>
      <c r="Q6" s="11">
        <f t="shared" si="11"/>
        <v>1.3899999999999997</v>
      </c>
      <c r="R6" s="11">
        <v>0.95180000000000042</v>
      </c>
      <c r="S6" s="11">
        <v>1.4142135623730951E-4</v>
      </c>
      <c r="T6" s="11">
        <f t="shared" si="2"/>
        <v>0.73020547913899525</v>
      </c>
      <c r="U6" s="4">
        <f t="shared" si="12"/>
        <v>0.3696530395022134</v>
      </c>
      <c r="V6" s="11">
        <f>SUM($T$2:T6)</f>
        <v>2.1027707444631036</v>
      </c>
      <c r="W6" s="4">
        <f>SQRT((U6^2)+(U5^2)+(U4^2)+(U3^2)+(U2^2))</f>
        <v>0.72814272829553639</v>
      </c>
      <c r="X6" s="11">
        <f t="shared" si="3"/>
        <v>1.1583492917408266E-2</v>
      </c>
      <c r="Y6" s="4">
        <f t="shared" si="13"/>
        <v>5.8639291307234524E-3</v>
      </c>
      <c r="Z6" s="4">
        <f t="shared" si="14"/>
        <v>3.4385664850147101E-5</v>
      </c>
      <c r="AA6" s="11">
        <f t="shared" si="4"/>
        <v>237.04999999998836</v>
      </c>
      <c r="AB6" s="13">
        <f t="shared" si="5"/>
        <v>0.99934893041068917</v>
      </c>
      <c r="AC6" s="11">
        <f t="shared" si="15"/>
        <v>1.159103949072918E-2</v>
      </c>
      <c r="AE6" s="1">
        <v>43291.5</v>
      </c>
    </row>
    <row r="7" spans="1:31" x14ac:dyDescent="0.25">
      <c r="A7" s="19" t="s">
        <v>15</v>
      </c>
      <c r="B7" s="18">
        <v>43262.625</v>
      </c>
      <c r="C7" s="14">
        <v>43301.4</v>
      </c>
      <c r="D7" s="15">
        <v>105.67</v>
      </c>
      <c r="E7" s="16">
        <v>1.8</v>
      </c>
      <c r="F7" s="4">
        <f t="shared" si="6"/>
        <v>1.9020600000000003</v>
      </c>
      <c r="G7" s="11">
        <f t="shared" si="7"/>
        <v>98.98</v>
      </c>
      <c r="H7" s="4">
        <f t="shared" si="16"/>
        <v>1.9588611828304734</v>
      </c>
      <c r="I7" s="17">
        <f t="shared" si="8"/>
        <v>930.60000000003492</v>
      </c>
      <c r="J7" s="7">
        <f t="shared" si="9"/>
        <v>1.6666666666666666E-2</v>
      </c>
      <c r="K7" s="13">
        <f>1-EXP(-$AE$3*I7)</f>
        <v>0.99997261684492411</v>
      </c>
      <c r="L7" s="4">
        <f t="shared" si="10"/>
        <v>1.7909101956531387E-5</v>
      </c>
      <c r="M7" s="11">
        <f>G7/((1+K7))</f>
        <v>49.490677605449839</v>
      </c>
      <c r="N7" s="4">
        <f t="shared" si="0"/>
        <v>0.97944440260795029</v>
      </c>
      <c r="O7" s="11">
        <f>M7*K7</f>
        <v>49.489322394550157</v>
      </c>
      <c r="P7" s="4">
        <f t="shared" si="1"/>
        <v>0.97941798337806141</v>
      </c>
      <c r="Q7" s="11">
        <f t="shared" si="11"/>
        <v>98.97999999999999</v>
      </c>
      <c r="R7" s="11">
        <v>0.90859999999999985</v>
      </c>
      <c r="S7" s="11">
        <v>1.4142135623730951E-4</v>
      </c>
      <c r="T7" s="11">
        <f t="shared" si="2"/>
        <v>54.469158711699151</v>
      </c>
      <c r="U7" s="4">
        <f t="shared" si="12"/>
        <v>1.0780042853764391</v>
      </c>
      <c r="V7" s="11">
        <f>SUM($T$2:T7)</f>
        <v>56.571929456162252</v>
      </c>
      <c r="W7" s="4">
        <f>SQRT((U7^2)+(U6^2)+(U5^2)+(U4^2)+(U3^2)+(U2^2))</f>
        <v>1.300878576985429</v>
      </c>
      <c r="X7" s="11">
        <f t="shared" si="3"/>
        <v>0.82484462675749737</v>
      </c>
      <c r="Y7" s="4">
        <f t="shared" si="13"/>
        <v>1.6324073376799173E-2</v>
      </c>
      <c r="Z7" s="4">
        <f t="shared" si="14"/>
        <v>2.6647537161112356E-4</v>
      </c>
      <c r="AA7" s="11">
        <f t="shared" si="4"/>
        <v>237.60000000003492</v>
      </c>
      <c r="AB7" s="13">
        <f t="shared" si="5"/>
        <v>0.9993474203013949</v>
      </c>
      <c r="AC7" s="11">
        <f t="shared" si="15"/>
        <v>0.82538325511335298</v>
      </c>
    </row>
    <row r="8" spans="1:31" x14ac:dyDescent="0.25">
      <c r="A8" s="19" t="s">
        <v>16</v>
      </c>
      <c r="B8" s="18">
        <v>43262.625</v>
      </c>
      <c r="C8" s="14">
        <v>43301.422916724536</v>
      </c>
      <c r="D8" s="15">
        <v>534.32000000000005</v>
      </c>
      <c r="E8" s="16">
        <v>0.8</v>
      </c>
      <c r="F8" s="4">
        <f t="shared" si="6"/>
        <v>4.2745600000000001</v>
      </c>
      <c r="G8" s="11">
        <f t="shared" si="7"/>
        <v>527.63</v>
      </c>
      <c r="H8" s="4">
        <f t="shared" si="16"/>
        <v>4.3001358215293619</v>
      </c>
      <c r="I8" s="17">
        <f t="shared" si="8"/>
        <v>931.15000138885807</v>
      </c>
      <c r="J8" s="7">
        <f t="shared" si="9"/>
        <v>1.6666666666666666E-2</v>
      </c>
      <c r="K8" s="13">
        <f>1-EXP(-$AE$3*I8)</f>
        <v>0.9999727863398864</v>
      </c>
      <c r="L8" s="4">
        <f t="shared" si="10"/>
        <v>1.7898526639968058E-5</v>
      </c>
      <c r="M8" s="11">
        <f>G8/((1+K8))</f>
        <v>263.81858973471634</v>
      </c>
      <c r="N8" s="4">
        <f t="shared" si="0"/>
        <v>2.1501023521490121</v>
      </c>
      <c r="O8" s="11">
        <f>M8*K8</f>
        <v>263.81141026528366</v>
      </c>
      <c r="P8" s="4">
        <f t="shared" si="1"/>
        <v>2.1500490252183506</v>
      </c>
      <c r="Q8" s="11">
        <f t="shared" si="11"/>
        <v>527.63</v>
      </c>
      <c r="R8" s="11">
        <v>0.91319999999999979</v>
      </c>
      <c r="S8" s="11">
        <v>1.4142135623730951E-4</v>
      </c>
      <c r="T8" s="11">
        <f t="shared" si="2"/>
        <v>288.89464491318046</v>
      </c>
      <c r="U8" s="4">
        <f t="shared" si="12"/>
        <v>2.3548954065076941</v>
      </c>
      <c r="V8" s="11">
        <f>SUM($T$2:T8)</f>
        <v>345.46657436934271</v>
      </c>
      <c r="W8" s="4">
        <f>SQRT((U8^2)+(U7^2)+(U6^2)+(U5^2)+(U4^2)+(U3^2)+(U2^2))</f>
        <v>2.6903192092483508</v>
      </c>
      <c r="X8" s="11">
        <f t="shared" si="3"/>
        <v>4.3969764955786053</v>
      </c>
      <c r="Y8" s="4">
        <f t="shared" si="13"/>
        <v>3.5835039202483536E-2</v>
      </c>
      <c r="Z8" s="4">
        <f t="shared" si="14"/>
        <v>1.2841500346435319E-3</v>
      </c>
      <c r="AA8" s="11">
        <f t="shared" si="4"/>
        <v>238.15000138885807</v>
      </c>
      <c r="AB8" s="13">
        <f t="shared" si="5"/>
        <v>0.99934591019056962</v>
      </c>
      <c r="AC8" s="11">
        <f t="shared" si="15"/>
        <v>4.3998543955016807</v>
      </c>
      <c r="AE8" t="s">
        <v>46</v>
      </c>
    </row>
    <row r="9" spans="1:31" x14ac:dyDescent="0.25">
      <c r="A9" s="19" t="s">
        <v>17</v>
      </c>
      <c r="B9" s="18">
        <v>43262.625</v>
      </c>
      <c r="C9" s="14">
        <v>43301.445833449077</v>
      </c>
      <c r="D9" s="15">
        <v>497.4</v>
      </c>
      <c r="E9" s="16">
        <v>0.83</v>
      </c>
      <c r="F9" s="4">
        <f t="shared" si="6"/>
        <v>4.1284200000000002</v>
      </c>
      <c r="G9" s="11">
        <f t="shared" si="7"/>
        <v>490.71</v>
      </c>
      <c r="H9" s="4">
        <f t="shared" si="16"/>
        <v>4.1548954964475344</v>
      </c>
      <c r="I9" s="17">
        <f t="shared" si="8"/>
        <v>931.70000277785584</v>
      </c>
      <c r="J9" s="7">
        <f t="shared" si="9"/>
        <v>1.6666666666666666E-2</v>
      </c>
      <c r="K9" s="13">
        <f>1-EXP(-$AE$3*I9)</f>
        <v>0.99997295478571691</v>
      </c>
      <c r="L9" s="4">
        <f t="shared" si="10"/>
        <v>1.788796379028131E-5</v>
      </c>
      <c r="M9" s="11">
        <f>G9/((1+K9))</f>
        <v>245.35831788414166</v>
      </c>
      <c r="N9" s="4">
        <f t="shared" si="0"/>
        <v>2.0774804775082596</v>
      </c>
      <c r="O9" s="11">
        <f>M9*K9</f>
        <v>245.35168211585835</v>
      </c>
      <c r="P9" s="4">
        <f t="shared" si="1"/>
        <v>2.0774289278626838</v>
      </c>
      <c r="Q9" s="11">
        <f t="shared" si="11"/>
        <v>490.71000000000004</v>
      </c>
      <c r="R9" s="11">
        <v>0.90810000000000013</v>
      </c>
      <c r="S9" s="11">
        <v>1.4142135623730951E-4</v>
      </c>
      <c r="T9" s="11">
        <f t="shared" si="2"/>
        <v>270.18865530684025</v>
      </c>
      <c r="U9" s="4">
        <f t="shared" si="12"/>
        <v>2.288109067462639</v>
      </c>
      <c r="V9" s="11">
        <f>SUM($T$2:T9)</f>
        <v>615.6552296761829</v>
      </c>
      <c r="W9" s="4">
        <f>SQRT((U9^2)+(U8^2)+(U7^2)+(U6^2)+(U5^2)+(U4^2)+(U3^2)+(U2^2))</f>
        <v>3.5317503524818146</v>
      </c>
      <c r="X9" s="11">
        <f t="shared" si="3"/>
        <v>4.0893052980690276</v>
      </c>
      <c r="Y9" s="4">
        <f t="shared" si="13"/>
        <v>3.4624674625137658E-2</v>
      </c>
      <c r="Z9" s="4">
        <f t="shared" si="14"/>
        <v>1.1988680928966516E-3</v>
      </c>
      <c r="AA9" s="11">
        <f t="shared" si="4"/>
        <v>238.70000277785584</v>
      </c>
      <c r="AB9" s="13">
        <f t="shared" si="5"/>
        <v>0.99934440008202563</v>
      </c>
      <c r="AC9" s="11">
        <f t="shared" si="15"/>
        <v>4.0919880050695037</v>
      </c>
      <c r="AE9">
        <f>LN(2)/252288</f>
        <v>2.7474441137110973E-6</v>
      </c>
    </row>
    <row r="10" spans="1:31" x14ac:dyDescent="0.25">
      <c r="A10" s="19" t="s">
        <v>18</v>
      </c>
      <c r="B10" s="18">
        <v>43262.625</v>
      </c>
      <c r="C10" s="14">
        <v>43301.468750173612</v>
      </c>
      <c r="D10" s="15">
        <v>176.6</v>
      </c>
      <c r="E10" s="16">
        <v>1.39</v>
      </c>
      <c r="F10" s="4">
        <f t="shared" si="6"/>
        <v>2.4547399999999997</v>
      </c>
      <c r="G10" s="11">
        <f t="shared" si="7"/>
        <v>169.91</v>
      </c>
      <c r="H10" s="4">
        <f t="shared" si="16"/>
        <v>2.4990104756883271</v>
      </c>
      <c r="I10" s="17">
        <f t="shared" si="8"/>
        <v>932.25000416667899</v>
      </c>
      <c r="J10" s="7">
        <f t="shared" si="9"/>
        <v>1.6666666666666666E-2</v>
      </c>
      <c r="K10" s="13">
        <f>1-EXP(-$AE$3*I10)</f>
        <v>0.99997312218890921</v>
      </c>
      <c r="L10" s="4">
        <f t="shared" si="10"/>
        <v>1.7877413385528606E-5</v>
      </c>
      <c r="M10" s="11">
        <f>G10/((1+K10))</f>
        <v>84.956141717564037</v>
      </c>
      <c r="N10" s="4">
        <f t="shared" si="0"/>
        <v>1.2495229531515293</v>
      </c>
      <c r="O10" s="11">
        <f>M10*K10</f>
        <v>84.953858282435945</v>
      </c>
      <c r="P10" s="4">
        <f t="shared" si="1"/>
        <v>1.2494902917829749</v>
      </c>
      <c r="Q10" s="11">
        <f t="shared" si="11"/>
        <v>169.90999999999997</v>
      </c>
      <c r="R10" s="11">
        <v>0.88779999999999948</v>
      </c>
      <c r="S10" s="11">
        <v>1.4142135623730951E-4</v>
      </c>
      <c r="T10" s="11">
        <f t="shared" si="2"/>
        <v>95.692883214196996</v>
      </c>
      <c r="U10" s="4">
        <f t="shared" si="12"/>
        <v>1.4075199774656928</v>
      </c>
      <c r="V10" s="11">
        <f>SUM($T$2:T10)</f>
        <v>711.34811289037987</v>
      </c>
      <c r="W10" s="4">
        <f>SQRT((U10^2)+(U9^2)+(U8^2)+(U7^2)+(U6^2)+(U5^2)+(U4^2)+(U3^2)+(U2^2))</f>
        <v>3.8018907190002773</v>
      </c>
      <c r="X10" s="11">
        <f t="shared" si="3"/>
        <v>1.415935695292734</v>
      </c>
      <c r="Y10" s="4">
        <f t="shared" si="13"/>
        <v>2.0825382552525491E-2</v>
      </c>
      <c r="Z10" s="4">
        <f t="shared" si="14"/>
        <v>4.336965584590331E-4</v>
      </c>
      <c r="AA10" s="11">
        <f t="shared" si="4"/>
        <v>239.25000416667899</v>
      </c>
      <c r="AB10" s="13">
        <f t="shared" si="5"/>
        <v>0.99934288997576415</v>
      </c>
      <c r="AC10" s="11">
        <f t="shared" si="15"/>
        <v>1.4168667326257487</v>
      </c>
    </row>
    <row r="11" spans="1:31" x14ac:dyDescent="0.25">
      <c r="A11" s="19" t="s">
        <v>19</v>
      </c>
      <c r="B11" s="18">
        <v>43262.625</v>
      </c>
      <c r="C11" s="14">
        <v>43301.491666898146</v>
      </c>
      <c r="D11" s="15">
        <v>52.68</v>
      </c>
      <c r="E11" s="16">
        <v>2.54</v>
      </c>
      <c r="F11" s="4">
        <f t="shared" si="6"/>
        <v>1.3380719999999999</v>
      </c>
      <c r="G11" s="11">
        <f t="shared" si="7"/>
        <v>45.99</v>
      </c>
      <c r="H11" s="4">
        <f t="shared" si="16"/>
        <v>1.4176535427190946</v>
      </c>
      <c r="I11" s="17">
        <f t="shared" si="8"/>
        <v>932.80000555550214</v>
      </c>
      <c r="J11" s="7">
        <f t="shared" si="9"/>
        <v>1.6666666666666666E-2</v>
      </c>
      <c r="K11" s="13">
        <f>1-EXP(-$AE$3*I11)</f>
        <v>0.99997328855591716</v>
      </c>
      <c r="L11" s="4">
        <f t="shared" si="10"/>
        <v>1.7866875403808414E-5</v>
      </c>
      <c r="M11" s="11">
        <f>G11/((1+K11))</f>
        <v>22.995307118930139</v>
      </c>
      <c r="N11" s="4">
        <f t="shared" si="0"/>
        <v>0.70883635745495421</v>
      </c>
      <c r="O11" s="11">
        <f>M11*K11</f>
        <v>22.994692881069863</v>
      </c>
      <c r="P11" s="4">
        <f t="shared" si="1"/>
        <v>0.70881754248466178</v>
      </c>
      <c r="Q11" s="11">
        <f t="shared" si="11"/>
        <v>45.99</v>
      </c>
      <c r="R11" s="11">
        <v>0.95009999999999994</v>
      </c>
      <c r="S11" s="11">
        <v>1.4142135623730951E-4</v>
      </c>
      <c r="T11" s="11">
        <f t="shared" si="2"/>
        <v>24.203038752689338</v>
      </c>
      <c r="U11" s="4">
        <f t="shared" si="12"/>
        <v>0.74607369905626331</v>
      </c>
      <c r="V11" s="11">
        <f>SUM($T$2:T11)</f>
        <v>735.55115164306926</v>
      </c>
      <c r="W11" s="4">
        <f>SQRT((U11^2)+(U10^2)+(U9^2)+(U8^2)+(U7^2)+(U6^2)+(U5^2)+(U4^2)+(U3^2)+(U2^2))</f>
        <v>3.8744030512640193</v>
      </c>
      <c r="X11" s="11">
        <f t="shared" si="3"/>
        <v>0.38325511864883566</v>
      </c>
      <c r="Y11" s="4">
        <f t="shared" si="13"/>
        <v>1.1813939290915903E-2</v>
      </c>
      <c r="Z11" s="4">
        <f t="shared" si="14"/>
        <v>1.3956916156944655E-4</v>
      </c>
      <c r="AA11" s="11">
        <f t="shared" si="4"/>
        <v>239.80000555550214</v>
      </c>
      <c r="AB11" s="13">
        <f t="shared" si="5"/>
        <v>0.99934137987178451</v>
      </c>
      <c r="AC11" s="11">
        <f t="shared" si="15"/>
        <v>0.38350770454237298</v>
      </c>
    </row>
    <row r="12" spans="1:31" x14ac:dyDescent="0.25">
      <c r="A12" s="19" t="s">
        <v>20</v>
      </c>
      <c r="B12" s="18">
        <v>43262.625</v>
      </c>
      <c r="C12" s="14">
        <v>43301.514583622687</v>
      </c>
      <c r="D12" s="15">
        <v>21.7</v>
      </c>
      <c r="E12" s="16">
        <v>3.97</v>
      </c>
      <c r="F12" s="4">
        <f t="shared" si="6"/>
        <v>0.86148999999999998</v>
      </c>
      <c r="G12" s="11">
        <f t="shared" si="7"/>
        <v>15.009999999999998</v>
      </c>
      <c r="H12" s="4">
        <f t="shared" si="16"/>
        <v>0.98054572055565059</v>
      </c>
      <c r="I12" s="17">
        <f t="shared" si="8"/>
        <v>933.35000694449991</v>
      </c>
      <c r="J12" s="7">
        <f t="shared" si="9"/>
        <v>1.6666666666666666E-2</v>
      </c>
      <c r="K12" s="13">
        <f>1-EXP(-$AE$3*I12)</f>
        <v>0.99997345389315451</v>
      </c>
      <c r="L12" s="4">
        <f t="shared" si="10"/>
        <v>1.7856349823270107E-5</v>
      </c>
      <c r="M12" s="11">
        <f>G12/((1+K12))</f>
        <v>7.50509961558814</v>
      </c>
      <c r="N12" s="4">
        <f t="shared" si="0"/>
        <v>0.49027938609878702</v>
      </c>
      <c r="O12" s="11">
        <f>M12*K12</f>
        <v>7.5049003844118589</v>
      </c>
      <c r="P12" s="4">
        <f t="shared" si="1"/>
        <v>0.4902663894060536</v>
      </c>
      <c r="Q12" s="11">
        <f t="shared" si="11"/>
        <v>15.009999999999998</v>
      </c>
      <c r="R12" s="11">
        <v>0.90749999999999975</v>
      </c>
      <c r="S12" s="11">
        <v>1.4142135623730951E-4</v>
      </c>
      <c r="T12" s="11">
        <f t="shared" si="2"/>
        <v>8.2700822210337659</v>
      </c>
      <c r="U12" s="4">
        <f t="shared" si="12"/>
        <v>0.54025430424531939</v>
      </c>
      <c r="V12" s="11">
        <f>SUM($T$2:T12)</f>
        <v>743.82123386410308</v>
      </c>
      <c r="W12" s="4">
        <f>SQRT((U12^2)+(U11^2)+(U10^2)+(U9^2)+(U8^2)+(U7^2)+(U6^2)+(U5^2)+(U4^2)+(U3^2)+(U2^2))</f>
        <v>3.9118887659159656</v>
      </c>
      <c r="X12" s="11">
        <f t="shared" si="3"/>
        <v>0.12508499359313566</v>
      </c>
      <c r="Y12" s="4">
        <f t="shared" si="13"/>
        <v>8.1713231016464494E-3</v>
      </c>
      <c r="Z12" s="4">
        <f t="shared" si="14"/>
        <v>6.6770521231500953E-5</v>
      </c>
      <c r="AA12" s="11">
        <f t="shared" si="4"/>
        <v>240.35000694449991</v>
      </c>
      <c r="AB12" s="13">
        <f t="shared" si="5"/>
        <v>0.99933986977008638</v>
      </c>
      <c r="AC12" s="11">
        <f t="shared" si="15"/>
        <v>0.12516762052324942</v>
      </c>
    </row>
    <row r="13" spans="1:31" x14ac:dyDescent="0.25">
      <c r="A13" s="19" t="s">
        <v>21</v>
      </c>
      <c r="B13" s="18">
        <v>43262.625</v>
      </c>
      <c r="C13" s="14">
        <v>43301.537500347222</v>
      </c>
      <c r="D13" s="15">
        <v>15.28</v>
      </c>
      <c r="E13" s="16">
        <v>4.72</v>
      </c>
      <c r="F13" s="4">
        <f t="shared" si="6"/>
        <v>0.72121599999999997</v>
      </c>
      <c r="G13" s="11">
        <f t="shared" si="7"/>
        <v>8.59</v>
      </c>
      <c r="H13" s="4">
        <f t="shared" si="16"/>
        <v>0.85991709405965411</v>
      </c>
      <c r="I13" s="17">
        <f t="shared" si="8"/>
        <v>933.90000833332306</v>
      </c>
      <c r="J13" s="7">
        <f t="shared" si="9"/>
        <v>1.6666666666666666E-2</v>
      </c>
      <c r="K13" s="13">
        <f>1-EXP(-$AE$3*I13)</f>
        <v>0.99997361820699515</v>
      </c>
      <c r="L13" s="4">
        <f t="shared" si="10"/>
        <v>1.7845836622123849E-5</v>
      </c>
      <c r="M13" s="11">
        <f>G13/((1+K13))</f>
        <v>4.2950566556478167</v>
      </c>
      <c r="N13" s="4">
        <f t="shared" si="0"/>
        <v>0.42996422547571822</v>
      </c>
      <c r="O13" s="11">
        <f>M13*K13</f>
        <v>4.2949433443521832</v>
      </c>
      <c r="P13" s="4">
        <f t="shared" si="1"/>
        <v>0.4299528890807251</v>
      </c>
      <c r="Q13" s="11">
        <f t="shared" si="11"/>
        <v>8.59</v>
      </c>
      <c r="R13" s="11">
        <v>0.87390000000000079</v>
      </c>
      <c r="S13" s="11">
        <v>1.4142135623730951E-4</v>
      </c>
      <c r="T13" s="11">
        <f t="shared" si="2"/>
        <v>4.9148148022059877</v>
      </c>
      <c r="U13" s="4">
        <f t="shared" si="12"/>
        <v>0.49200685121373688</v>
      </c>
      <c r="V13" s="11">
        <f>SUM($T$2:T13)</f>
        <v>748.7360486663091</v>
      </c>
      <c r="W13" s="4">
        <f>SQRT((U13^2)+(U12^2)+(U11^2)+(U10^2)+(U9^2)+(U8^2)+(U7^2)+(U6^2)+(U5^2)+(U4^2)+(U3^2)+(U2^2))</f>
        <v>3.9427077571817049</v>
      </c>
      <c r="X13" s="11">
        <f t="shared" si="3"/>
        <v>7.1584277594130274E-2</v>
      </c>
      <c r="Y13" s="4">
        <f t="shared" si="13"/>
        <v>7.1660704245953034E-3</v>
      </c>
      <c r="Z13" s="4">
        <f t="shared" si="14"/>
        <v>5.1352565330259513E-5</v>
      </c>
      <c r="AA13" s="11">
        <f t="shared" si="4"/>
        <v>240.90000833332306</v>
      </c>
      <c r="AB13" s="13">
        <f t="shared" si="5"/>
        <v>0.99933835967067064</v>
      </c>
      <c r="AC13" s="11">
        <f t="shared" si="15"/>
        <v>7.1631671997180901E-2</v>
      </c>
    </row>
    <row r="14" spans="1:31" x14ac:dyDescent="0.25">
      <c r="A14" s="19" t="s">
        <v>22</v>
      </c>
      <c r="B14" s="18">
        <v>43262.625</v>
      </c>
      <c r="C14" s="14">
        <v>43301.560417071756</v>
      </c>
      <c r="D14" s="15">
        <v>12.11</v>
      </c>
      <c r="E14" s="16">
        <v>5.31</v>
      </c>
      <c r="F14" s="4">
        <f t="shared" si="6"/>
        <v>0.64304099999999986</v>
      </c>
      <c r="G14" s="11">
        <f t="shared" si="7"/>
        <v>5.419999999999999</v>
      </c>
      <c r="H14" s="4">
        <f t="shared" si="16"/>
        <v>0.79549143155724811</v>
      </c>
      <c r="I14" s="17">
        <f t="shared" si="8"/>
        <v>934.45000972214621</v>
      </c>
      <c r="J14" s="7">
        <f t="shared" si="9"/>
        <v>1.6666666666666666E-2</v>
      </c>
      <c r="K14" s="13">
        <f>1-EXP(-$AE$3*I14)</f>
        <v>0.99997378150377381</v>
      </c>
      <c r="L14" s="4">
        <f t="shared" si="10"/>
        <v>1.7835335778620387E-5</v>
      </c>
      <c r="M14" s="11">
        <f>G14/((1+K14))</f>
        <v>2.7100355265281117</v>
      </c>
      <c r="N14" s="4">
        <f t="shared" si="0"/>
        <v>0.39775093293118607</v>
      </c>
      <c r="O14" s="11">
        <f>M14*K14</f>
        <v>2.7099644734718864</v>
      </c>
      <c r="P14" s="4">
        <f t="shared" si="1"/>
        <v>0.39774050743670858</v>
      </c>
      <c r="Q14" s="11">
        <f t="shared" si="11"/>
        <v>5.4199999999999982</v>
      </c>
      <c r="R14" s="11">
        <v>0.92330000000000023</v>
      </c>
      <c r="S14" s="11">
        <v>1.4142135623730951E-4</v>
      </c>
      <c r="T14" s="11">
        <f t="shared" si="2"/>
        <v>2.9351624894704984</v>
      </c>
      <c r="U14" s="4">
        <f t="shared" si="12"/>
        <v>0.4307929703546548</v>
      </c>
      <c r="V14" s="11">
        <f>SUM($T$2:T14)</f>
        <v>751.67121115577959</v>
      </c>
      <c r="W14" s="4">
        <f>SQRT((U14^2)+(U13^2)+(U12^2)+(U11^2)+(U10^2)+(U9^2)+(U8^2)+(U7^2)+(U6^2)+(U5^2)+(U4^2)+(U3^2)+(U2^2))</f>
        <v>3.9661728456848397</v>
      </c>
      <c r="X14" s="11">
        <f t="shared" si="3"/>
        <v>4.5167258775468531E-2</v>
      </c>
      <c r="Y14" s="4">
        <f t="shared" si="13"/>
        <v>6.6291822155197687E-3</v>
      </c>
      <c r="Z14" s="4">
        <f t="shared" si="14"/>
        <v>4.3946056846563592E-5</v>
      </c>
      <c r="AA14" s="11">
        <f t="shared" si="4"/>
        <v>241.45000972214621</v>
      </c>
      <c r="AB14" s="13">
        <f t="shared" si="5"/>
        <v>0.99933684957353675</v>
      </c>
      <c r="AC14" s="11">
        <f t="shared" si="15"/>
        <v>4.5197231338705755E-2</v>
      </c>
    </row>
    <row r="15" spans="1:31" x14ac:dyDescent="0.25">
      <c r="A15" s="19" t="s">
        <v>23</v>
      </c>
      <c r="B15" s="18">
        <v>43262.625</v>
      </c>
      <c r="C15" s="14">
        <v>43301.583333796298</v>
      </c>
      <c r="D15" s="15">
        <v>10.81</v>
      </c>
      <c r="E15" s="16">
        <v>5.62</v>
      </c>
      <c r="F15" s="4">
        <f t="shared" si="6"/>
        <v>0.60752200000000001</v>
      </c>
      <c r="G15" s="11">
        <f t="shared" si="7"/>
        <v>4.12</v>
      </c>
      <c r="H15" s="4">
        <f t="shared" si="16"/>
        <v>0.76706445001968382</v>
      </c>
      <c r="I15" s="17">
        <f t="shared" si="8"/>
        <v>935.00001111114398</v>
      </c>
      <c r="J15" s="7">
        <f t="shared" si="9"/>
        <v>1.6666666666666666E-2</v>
      </c>
      <c r="K15" s="13">
        <f>1-EXP(-$AE$3*I15)</f>
        <v>0.99997394378978566</v>
      </c>
      <c r="L15" s="4">
        <f t="shared" si="10"/>
        <v>1.7824847271060942E-5</v>
      </c>
      <c r="M15" s="11">
        <f>G15/((1+K15))</f>
        <v>2.0600268382461722</v>
      </c>
      <c r="N15" s="4">
        <f t="shared" si="0"/>
        <v>0.38353722353093245</v>
      </c>
      <c r="O15" s="11">
        <f>M15*K15</f>
        <v>2.0599731617538275</v>
      </c>
      <c r="P15" s="4">
        <f t="shared" si="1"/>
        <v>0.38352723176221803</v>
      </c>
      <c r="Q15" s="11">
        <f t="shared" si="11"/>
        <v>4.1199999999999992</v>
      </c>
      <c r="R15" s="11">
        <v>0.91490000000000027</v>
      </c>
      <c r="S15" s="11">
        <v>1.4142135623730951E-4</v>
      </c>
      <c r="T15" s="11">
        <f t="shared" si="2"/>
        <v>2.2516415326769827</v>
      </c>
      <c r="U15" s="4">
        <f t="shared" si="12"/>
        <v>0.41921232453665969</v>
      </c>
      <c r="V15" s="11">
        <f>SUM($T$2:T15)</f>
        <v>753.9228526884566</v>
      </c>
      <c r="W15" s="4">
        <f>SQRT((U15^2)+(U14^2)+(U13^2)+(U12^2)+(U11^2)+(U10^2)+(U9^2)+(U8^2)+(U7^2)+(U6^2)+(U5^2)+(U4^2)+(U3^2)+(U2^2))</f>
        <v>3.9882660411375781</v>
      </c>
      <c r="X15" s="11">
        <f t="shared" si="3"/>
        <v>3.4333780637436202E-2</v>
      </c>
      <c r="Y15" s="4">
        <f t="shared" si="13"/>
        <v>6.3922870588488737E-3</v>
      </c>
      <c r="Z15" s="4">
        <f t="shared" si="14"/>
        <v>4.0861333842726786E-5</v>
      </c>
      <c r="AA15" s="11">
        <f t="shared" si="4"/>
        <v>242.00001111114398</v>
      </c>
      <c r="AB15" s="13">
        <f t="shared" si="5"/>
        <v>0.99933533947868425</v>
      </c>
      <c r="AC15" s="11">
        <f t="shared" si="15"/>
        <v>3.4356616123819704E-2</v>
      </c>
    </row>
    <row r="16" spans="1:31" x14ac:dyDescent="0.25">
      <c r="A16" s="19" t="s">
        <v>24</v>
      </c>
      <c r="B16" s="18">
        <v>43262.625</v>
      </c>
      <c r="C16" s="14">
        <v>43301.606250520832</v>
      </c>
      <c r="D16" s="15">
        <v>9.89</v>
      </c>
      <c r="E16" s="16">
        <v>5.87</v>
      </c>
      <c r="F16" s="4">
        <f t="shared" si="6"/>
        <v>0.58054300000000003</v>
      </c>
      <c r="G16" s="11">
        <f t="shared" si="7"/>
        <v>3.2</v>
      </c>
      <c r="H16" s="4">
        <f t="shared" si="16"/>
        <v>0.74587871993307331</v>
      </c>
      <c r="I16" s="17">
        <f t="shared" si="8"/>
        <v>935.55001249996712</v>
      </c>
      <c r="J16" s="7">
        <f t="shared" si="9"/>
        <v>1.6666666666666666E-2</v>
      </c>
      <c r="K16" s="13">
        <f>1-EXP(-$AE$3*I16)</f>
        <v>0.99997410507128726</v>
      </c>
      <c r="L16" s="4">
        <f t="shared" si="10"/>
        <v>1.7814371077807065E-5</v>
      </c>
      <c r="M16" s="11">
        <f>G16/((1+K16))</f>
        <v>1.6000207162111928</v>
      </c>
      <c r="N16" s="4">
        <f t="shared" si="0"/>
        <v>0.37294418973740939</v>
      </c>
      <c r="O16" s="11">
        <f>M16*K16</f>
        <v>1.5999792837888076</v>
      </c>
      <c r="P16" s="4">
        <f t="shared" si="1"/>
        <v>0.3729345334634574</v>
      </c>
      <c r="Q16" s="11">
        <f t="shared" si="11"/>
        <v>3.2</v>
      </c>
      <c r="R16" s="11">
        <v>0.91889999999999983</v>
      </c>
      <c r="S16" s="11">
        <v>1.4142135623730951E-4</v>
      </c>
      <c r="T16" s="11">
        <f t="shared" si="2"/>
        <v>1.7412348636534913</v>
      </c>
      <c r="U16" s="4">
        <f t="shared" si="12"/>
        <v>0.40585947440822295</v>
      </c>
      <c r="V16" s="11">
        <f>SUM($T$2:T16)</f>
        <v>755.66408755211012</v>
      </c>
      <c r="W16" s="4">
        <f>SQRT((U16^2)+(U15^2)+(U14^2)+(U13^2)+(U12^2)+(U11^2)+(U10^2)+(U9^2)+(U8^2)+(U7^2)+(U6^2)+(U5^2)+(U4^2)+(U3^2)+(U2^2))</f>
        <v>4.0088636704006442</v>
      </c>
      <c r="X16" s="11">
        <f t="shared" si="3"/>
        <v>2.6667011936853214E-2</v>
      </c>
      <c r="Y16" s="4">
        <f t="shared" si="13"/>
        <v>6.2157364956234896E-3</v>
      </c>
      <c r="Z16" s="4">
        <f t="shared" si="14"/>
        <v>3.863538018302578E-5</v>
      </c>
      <c r="AA16" s="11">
        <f t="shared" si="4"/>
        <v>242.55001249996712</v>
      </c>
      <c r="AB16" s="13">
        <f t="shared" si="5"/>
        <v>0.99933382938611426</v>
      </c>
      <c r="AC16" s="11">
        <f t="shared" si="15"/>
        <v>2.6684788558828859E-2</v>
      </c>
    </row>
    <row r="17" spans="1:29" ht="15.75" thickBot="1" x14ac:dyDescent="0.3">
      <c r="A17" s="20" t="s">
        <v>25</v>
      </c>
      <c r="B17" s="18">
        <v>43262.625</v>
      </c>
      <c r="C17" s="14">
        <v>43301.629167245374</v>
      </c>
      <c r="D17" s="15">
        <v>6.69</v>
      </c>
      <c r="E17" s="16">
        <v>7</v>
      </c>
      <c r="F17" s="4">
        <f t="shared" si="6"/>
        <v>0.46830000000000005</v>
      </c>
      <c r="G17" s="11">
        <f t="shared" si="7"/>
        <v>0</v>
      </c>
      <c r="H17" s="4">
        <f t="shared" si="16"/>
        <v>0.66227621125932046</v>
      </c>
      <c r="I17" s="17">
        <f t="shared" si="8"/>
        <v>936.1000138889649</v>
      </c>
      <c r="J17" s="7">
        <f t="shared" si="9"/>
        <v>1.6666666666666666E-2</v>
      </c>
      <c r="K17" s="13">
        <f>1-EXP(-$AE$3*I17)</f>
        <v>0.99997426535449629</v>
      </c>
      <c r="L17" s="4">
        <f t="shared" si="10"/>
        <v>1.7803907177257162E-5</v>
      </c>
      <c r="M17" s="11">
        <f>G17/((1+K17))</f>
        <v>0</v>
      </c>
      <c r="N17" s="4" t="e">
        <f t="shared" si="0"/>
        <v>#DIV/0!</v>
      </c>
      <c r="O17" s="11">
        <f>M17*K17</f>
        <v>0</v>
      </c>
      <c r="P17" s="4" t="e">
        <f t="shared" si="1"/>
        <v>#DIV/0!</v>
      </c>
      <c r="Q17" s="11">
        <f t="shared" si="11"/>
        <v>0</v>
      </c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</row>
    <row r="18" spans="1:29" x14ac:dyDescent="0.25">
      <c r="C18" s="1"/>
    </row>
    <row r="22" spans="1:29" x14ac:dyDescent="0.25">
      <c r="W22" s="5"/>
      <c r="Y22" s="29" t="s">
        <v>47</v>
      </c>
      <c r="Z22" s="29"/>
    </row>
    <row r="23" spans="1:29" x14ac:dyDescent="0.25">
      <c r="W23" s="5" t="s">
        <v>48</v>
      </c>
      <c r="X23" s="30">
        <f>SUM(X2:X17)</f>
        <v>11.448905053824747</v>
      </c>
      <c r="Y23" s="5">
        <f>SQRT(SUM(Z2:Z16))</f>
        <v>6.1072577374511203E-2</v>
      </c>
      <c r="Z23" s="5"/>
      <c r="AB23" s="30"/>
      <c r="AC23">
        <f>SUM(AC2:AC16)</f>
        <v>11.456411732291375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CT11R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2018-07-17T15:27:47Z</dcterms:created>
  <dcterms:modified xsi:type="dcterms:W3CDTF">2021-06-16T12:07:21Z</dcterms:modified>
</cp:coreProperties>
</file>